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MF\CONTABILIDADE\ADRIANO\Programas, Ações, Projetos, Obras\2º Quadrimestre\"/>
    </mc:Choice>
  </mc:AlternateContent>
  <bookViews>
    <workbookView xWindow="0" yWindow="0" windowWidth="24000" windowHeight="9735"/>
  </bookViews>
  <sheets>
    <sheet name="Projeto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2" l="1"/>
  <c r="G105" i="2" l="1"/>
  <c r="F105" i="2"/>
  <c r="F103" i="2"/>
  <c r="G103" i="2"/>
  <c r="G95" i="2"/>
  <c r="H94" i="2" s="1"/>
  <c r="G88" i="2"/>
  <c r="G82" i="2"/>
  <c r="G77" i="2"/>
  <c r="G71" i="2"/>
  <c r="G72" i="2"/>
  <c r="G70" i="2"/>
  <c r="F69" i="2" l="1"/>
  <c r="H69" i="2" s="1"/>
  <c r="G67" i="2"/>
  <c r="F64" i="2"/>
  <c r="G58" i="2"/>
  <c r="G59" i="2"/>
  <c r="G56" i="2"/>
  <c r="F56" i="2"/>
  <c r="G54" i="2"/>
  <c r="G49" i="2"/>
  <c r="G53" i="2"/>
  <c r="G52" i="2"/>
  <c r="G44" i="2"/>
  <c r="G51" i="2"/>
  <c r="G50" i="2"/>
  <c r="G43" i="2"/>
  <c r="F43" i="2"/>
  <c r="G34" i="2"/>
  <c r="G40" i="2"/>
  <c r="G28" i="2"/>
  <c r="G16" i="2"/>
  <c r="G24" i="2"/>
  <c r="G22" i="2"/>
  <c r="G31" i="2"/>
  <c r="G21" i="2"/>
  <c r="G30" i="2"/>
  <c r="G29" i="2"/>
  <c r="G20" i="2"/>
  <c r="G27" i="2"/>
  <c r="G26" i="2"/>
  <c r="G25" i="2"/>
  <c r="G23" i="2"/>
  <c r="G19" i="2"/>
  <c r="G18" i="2"/>
  <c r="G108" i="2" l="1"/>
  <c r="H43" i="2"/>
  <c r="H15" i="2"/>
  <c r="F108" i="2"/>
  <c r="E108" i="2"/>
  <c r="H107" i="2"/>
  <c r="H105" i="2"/>
  <c r="H103" i="2"/>
  <c r="H82" i="2"/>
  <c r="H40" i="2"/>
  <c r="H33" i="2"/>
  <c r="H58" i="2" l="1"/>
  <c r="H99" i="2" l="1"/>
  <c r="H97" i="2"/>
  <c r="H92" i="2"/>
  <c r="H90" i="2"/>
  <c r="H88" i="2"/>
  <c r="H86" i="2"/>
  <c r="H84" i="2"/>
  <c r="H79" i="2"/>
  <c r="H76" i="2"/>
  <c r="H74" i="2"/>
  <c r="H66" i="2"/>
  <c r="H64" i="2"/>
  <c r="H62" i="2"/>
  <c r="H56" i="2" l="1"/>
  <c r="H38" i="2"/>
  <c r="H36" i="2"/>
  <c r="H13" i="2"/>
  <c r="H108" i="2" l="1"/>
</calcChain>
</file>

<file path=xl/sharedStrings.xml><?xml version="1.0" encoding="utf-8"?>
<sst xmlns="http://schemas.openxmlformats.org/spreadsheetml/2006/main" count="192" uniqueCount="172">
  <si>
    <t>PREFEITURA MUNICIPAL DE FARROUPILHA - RS</t>
  </si>
  <si>
    <t>LEI Nº 12.527/2011, ART. 7º, VII, "A" E ART. 8º, §1º, V</t>
  </si>
  <si>
    <t>PREFEITURA MUNICIPAL</t>
  </si>
  <si>
    <t>Nº DO
PROJETO</t>
  </si>
  <si>
    <t>NOME DO
PROJETO</t>
  </si>
  <si>
    <t>META
FÍSICA</t>
  </si>
  <si>
    <t>META
FINANCEIRA
INICIAL</t>
  </si>
  <si>
    <t>META
FINANCEIRA
ATUALIZADA</t>
  </si>
  <si>
    <t>META
FINANCEIRA
LIQUIDADA</t>
  </si>
  <si>
    <t>% DE
CUMPRIMENTO
DA META</t>
  </si>
  <si>
    <t>Retificação e Pavimentação de Vias Públicas Urbanas</t>
  </si>
  <si>
    <t>-</t>
  </si>
  <si>
    <t>Ampliação do Sistema de Iluminação Pública</t>
  </si>
  <si>
    <t xml:space="preserve">     Ampliação da Escola Nova Sardenha</t>
  </si>
  <si>
    <t>1013</t>
  </si>
  <si>
    <t>980,40m²</t>
  </si>
  <si>
    <t>1014</t>
  </si>
  <si>
    <t>564m²</t>
  </si>
  <si>
    <t>1016</t>
  </si>
  <si>
    <t>1018</t>
  </si>
  <si>
    <t>1025</t>
  </si>
  <si>
    <t>1026</t>
  </si>
  <si>
    <t xml:space="preserve">     Construção de Infraestrutura em Condomínios</t>
  </si>
  <si>
    <t>1 Condomínio</t>
  </si>
  <si>
    <t xml:space="preserve">     Construção de Infraestrutura em Loteamentos</t>
  </si>
  <si>
    <t>1 Loteamento</t>
  </si>
  <si>
    <t xml:space="preserve">     Construção de Área de Lazer</t>
  </si>
  <si>
    <t>1031</t>
  </si>
  <si>
    <t>1040</t>
  </si>
  <si>
    <t>1041</t>
  </si>
  <si>
    <t>1043</t>
  </si>
  <si>
    <t>TOTAL DOS PROJETOS</t>
  </si>
  <si>
    <t>1010</t>
  </si>
  <si>
    <t>Construção, Ampliação e/ou Melhoria de Prédios Públicos</t>
  </si>
  <si>
    <t xml:space="preserve">     Construção do Parque de Máquinas</t>
  </si>
  <si>
    <t>1 Obra</t>
  </si>
  <si>
    <t xml:space="preserve">     Pavimentação Rua Caetano Feltrin</t>
  </si>
  <si>
    <t>Construção, Ampl. e/ou Melhoria em Parques, Praças e Jardins</t>
  </si>
  <si>
    <t xml:space="preserve">     Construção da Praça de Monte Bérico</t>
  </si>
  <si>
    <t xml:space="preserve">Ampliação de Cemitérios Públicos                  </t>
  </si>
  <si>
    <t>70 Gavetas</t>
  </si>
  <si>
    <t xml:space="preserve">     Construção de Gavetas</t>
  </si>
  <si>
    <t xml:space="preserve">     Extensão de 500m de rede em Diversas Ruas da Cidade</t>
  </si>
  <si>
    <t>80 Pontos de Luz</t>
  </si>
  <si>
    <t>1017</t>
  </si>
  <si>
    <t>Ampliação e Tratamento do Sistema de Esgoto Pluvial e Cloacal</t>
  </si>
  <si>
    <t>1019</t>
  </si>
  <si>
    <t>Constr.e/ou Pavimentação de Estradas e Pontes</t>
  </si>
  <si>
    <t>5.619,25m²</t>
  </si>
  <si>
    <t>Constr, Ampl. e/ou Melhoria de Escolas Mun. Ens. Fundamental</t>
  </si>
  <si>
    <t>1.280m²</t>
  </si>
  <si>
    <t>Constr, Ampl. e/ou Melh. Quadras Esport. Esc. Ens. Fundamental</t>
  </si>
  <si>
    <t xml:space="preserve">     Construção da Quadra da Escola Nossa Senhora Medianeira</t>
  </si>
  <si>
    <t>1029</t>
  </si>
  <si>
    <t>Constr, Ampl. e/ou Melhoria Prédios para Contraturno Escolar</t>
  </si>
  <si>
    <t xml:space="preserve">     Reforma da Casa da Criança Odete Zanfeliz</t>
  </si>
  <si>
    <t>Constr, Ampl. e/ou Melh. Escolas Educ. Infantil - Pré-Escola</t>
  </si>
  <si>
    <t xml:space="preserve">     Constr, Ampl. e/ou Melh. Escolas Educ. Infantil - Pré-Escola</t>
  </si>
  <si>
    <t>1034</t>
  </si>
  <si>
    <t>Constr, Ampl. e/ou Melh. Escolas de Educação Infantil - Creche</t>
  </si>
  <si>
    <t xml:space="preserve">     Conclusão da Escola Educação Infantil Bairro Belvedere</t>
  </si>
  <si>
    <t xml:space="preserve">     Conclusão da Escola Educação Infantil Bairro Monte Pasqual</t>
  </si>
  <si>
    <t>Implantação e Melhoria de Infraestrutura Turística</t>
  </si>
  <si>
    <t>Restauração e Preservação de Patrimônio Histórico e Cultural</t>
  </si>
  <si>
    <t xml:space="preserve">     Restauração do Museu Casal Moschetti</t>
  </si>
  <si>
    <t>Constr, Ampl. e/ou Melhoria de Museus Públicos Municipais</t>
  </si>
  <si>
    <t xml:space="preserve">     Restauração do Museu Casa de Pedra</t>
  </si>
  <si>
    <t xml:space="preserve">     Construção do Museu da Imigração Italiana</t>
  </si>
  <si>
    <t>1048</t>
  </si>
  <si>
    <t>Constr, Ampl. e/ou Melhoria de Prédios de Assistência Social</t>
  </si>
  <si>
    <t xml:space="preserve">     Reforma do Centro de Convivência de Idosos São José</t>
  </si>
  <si>
    <t xml:space="preserve">     Construção de Centro de Referência de Assistência Social</t>
  </si>
  <si>
    <t>1057</t>
  </si>
  <si>
    <t xml:space="preserve">Urbaniz, Regulariz. e Integração de Assentamentos Precários </t>
  </si>
  <si>
    <t>1059</t>
  </si>
  <si>
    <t>Infraestrutura Condomínios Residenciais Minha Casa Minha Vida</t>
  </si>
  <si>
    <t>1060</t>
  </si>
  <si>
    <t>Implantação e Infraestrutura de Loteamentos Populares</t>
  </si>
  <si>
    <t>1061</t>
  </si>
  <si>
    <t>Construção, Ampliação e/ou Melhoria Unidades Habitacionais</t>
  </si>
  <si>
    <t>1062</t>
  </si>
  <si>
    <t>Implantação de Área de Lazer para Condomínios</t>
  </si>
  <si>
    <t>1063</t>
  </si>
  <si>
    <t>Constr, Ampl. e/ou Melhoria de Infraestrutura p/Saneamento</t>
  </si>
  <si>
    <t>1066</t>
  </si>
  <si>
    <t>Construção e/ou Pavimentação de Estradas Rurais e Pontes</t>
  </si>
  <si>
    <t>7.090m²</t>
  </si>
  <si>
    <t>1068</t>
  </si>
  <si>
    <t>Constr, Ampl. e/ou Melhoria de Unidades Básicas de Saúde</t>
  </si>
  <si>
    <t>1076</t>
  </si>
  <si>
    <t>Aquisição de Imóveis e/ou Impl. Infraestrutura para Empresas</t>
  </si>
  <si>
    <t xml:space="preserve">     Implantação de Infraestrutura para Empresas</t>
  </si>
  <si>
    <t>1078</t>
  </si>
  <si>
    <t>Implantação do Jardim Botânico Municipal</t>
  </si>
  <si>
    <t xml:space="preserve">     Implantação do Jardim Botânico Municipal</t>
  </si>
  <si>
    <t>Constr, Ampl. e/ou Melhoria Espaços Esportivos e Recreativos</t>
  </si>
  <si>
    <t>1084</t>
  </si>
  <si>
    <t xml:space="preserve">     Pavimentação Rua Gerônimo Franceschini</t>
  </si>
  <si>
    <t>2.732,39m²</t>
  </si>
  <si>
    <t xml:space="preserve">     Implantação de Parque de Eventos no Largo Carlos Fetter</t>
  </si>
  <si>
    <t>224,69m²</t>
  </si>
  <si>
    <t>87,75m²</t>
  </si>
  <si>
    <t xml:space="preserve">     Instalação de Reservatório de Água na Vila Esperança</t>
  </si>
  <si>
    <t xml:space="preserve">     Construção de Rede de Esgoto em trechos 1º e 4º Distrito</t>
  </si>
  <si>
    <t xml:space="preserve">     Construção da Quadra na Rua Hugo Mantovani, Vila Jansen</t>
  </si>
  <si>
    <t xml:space="preserve">     Pavimentação Rua Domenico Fin</t>
  </si>
  <si>
    <t>2.500,00m²</t>
  </si>
  <si>
    <t>2.890,00m²</t>
  </si>
  <si>
    <t>1.350,00m²</t>
  </si>
  <si>
    <t xml:space="preserve">     Construção da Praça na Rua Remigio Tartarotti</t>
  </si>
  <si>
    <t>1.898,00m²</t>
  </si>
  <si>
    <t xml:space="preserve">     Ampliação do Sistema de Esgoto Pluvial na Rua Garibaldi</t>
  </si>
  <si>
    <t xml:space="preserve">     Construção Cortina de Contenção Galeria Pluvial Medianeira</t>
  </si>
  <si>
    <t xml:space="preserve">     Pavimentação de Estrada na Linha São Luiz</t>
  </si>
  <si>
    <t>2.400,00m²</t>
  </si>
  <si>
    <t xml:space="preserve">     Pavimentação de Estrada na Linha São João</t>
  </si>
  <si>
    <t xml:space="preserve">     Pavimentação de Estrada Rio Burati</t>
  </si>
  <si>
    <t xml:space="preserve">     Pavimentação de Estrada na Linha Caravaggieto</t>
  </si>
  <si>
    <t>6.618,00m²</t>
  </si>
  <si>
    <t xml:space="preserve">     Pavimentação de Estrada na Linha Rio Branco</t>
  </si>
  <si>
    <t>3.000,00m²</t>
  </si>
  <si>
    <t xml:space="preserve">     Pavimentação de Estrada na Linha 47</t>
  </si>
  <si>
    <t>6.055,00m²</t>
  </si>
  <si>
    <t xml:space="preserve">     Pavimentação das Ruas Germano Osmarini e Itacir R. Zatti</t>
  </si>
  <si>
    <t xml:space="preserve">     Fechamento da Quadra da Escola Senador Teotônio Vilela</t>
  </si>
  <si>
    <t xml:space="preserve">     Fechamento da Quadra da Escola Angelo Chiele</t>
  </si>
  <si>
    <t xml:space="preserve">     Placas de Sinalização Turística</t>
  </si>
  <si>
    <t>150,76m²</t>
  </si>
  <si>
    <t xml:space="preserve">     Construção de Casas na Aldeia Indígena de Santa Rita</t>
  </si>
  <si>
    <t>2 Casas</t>
  </si>
  <si>
    <t xml:space="preserve">     Conforme demanda</t>
  </si>
  <si>
    <t xml:space="preserve">     Construção e Ampliação de UBSs</t>
  </si>
  <si>
    <t>350m²</t>
  </si>
  <si>
    <t>1091</t>
  </si>
  <si>
    <t>Constr, Ampl. e/ou Melhoria Prédios do Corpo de Bombeiros</t>
  </si>
  <si>
    <t>80m²</t>
  </si>
  <si>
    <t xml:space="preserve">     Ampliação/Melhoria do Prédio do Corpo de Bombeiros</t>
  </si>
  <si>
    <t>1092</t>
  </si>
  <si>
    <t>Constr, Ampl. e/ou Melhoria Prédios da Admin. da Educação</t>
  </si>
  <si>
    <t xml:space="preserve">     Ampliação/Melhoria do Prédio da Secretaria da Educação</t>
  </si>
  <si>
    <t xml:space="preserve">     Drenagem e Pavimentação da FR10 Salto Ventoso</t>
  </si>
  <si>
    <t xml:space="preserve">     Recapeamento Asfáltico de Trecho Da Avenida Armando Antonello</t>
  </si>
  <si>
    <t xml:space="preserve">     Capeamento da Rua Primo Postali</t>
  </si>
  <si>
    <t>2.803,00m²</t>
  </si>
  <si>
    <t xml:space="preserve">     Capeamento da Rua Júlio De Castilhos</t>
  </si>
  <si>
    <t xml:space="preserve">     Capeamento da Rua Raineri Petrini</t>
  </si>
  <si>
    <t>19.314,98m²</t>
  </si>
  <si>
    <t xml:space="preserve">     Pavimentação das Ruas Deolindo Varisco, Carlos Alberto Rovati, Garibaldi e Luciano Cortois.</t>
  </si>
  <si>
    <t xml:space="preserve">     Pavimentação da Rua Humberto Alencar Castelo Branco.</t>
  </si>
  <si>
    <t>9.001,00m²</t>
  </si>
  <si>
    <t xml:space="preserve">     Pavimentação das Ruas Izidoro Farinon e Itacir Raimundo Zatti</t>
  </si>
  <si>
    <t xml:space="preserve">     Pavimentação da Rua Garibaldi</t>
  </si>
  <si>
    <t xml:space="preserve">     Recapeamento Alexandre Bartelle, Silveira Martins e Alberto Rovatti.</t>
  </si>
  <si>
    <t xml:space="preserve">     Pavimentação Raimundo Zatti, e Adelina Faé Guerra</t>
  </si>
  <si>
    <t xml:space="preserve">     Pavimentação Ruas Delmo Kerber, José Dalla Riva e Minas Gerais</t>
  </si>
  <si>
    <t xml:space="preserve">     Manutencao Avenida Monsenhor Albino Agazzi.</t>
  </si>
  <si>
    <t xml:space="preserve"> </t>
  </si>
  <si>
    <t xml:space="preserve">     Diversas Ruas</t>
  </si>
  <si>
    <t xml:space="preserve">     Abertura de Estrada em Nova Sardenha/Linha Muller 3º Distrito</t>
  </si>
  <si>
    <t xml:space="preserve">     Pavimentação Da Estrada Fr 02 - Linha Caçador</t>
  </si>
  <si>
    <t>8,057,00m²</t>
  </si>
  <si>
    <t xml:space="preserve">     Abertura de Estrada em Nova Sardenha/Linha Ely</t>
  </si>
  <si>
    <t xml:space="preserve">     Pavimentação Da Estrada Fr 53 - Linha Jacinto</t>
  </si>
  <si>
    <t>7.715,00m²</t>
  </si>
  <si>
    <t>9.300,00m²</t>
  </si>
  <si>
    <t xml:space="preserve">     Pavimentação Na Rua Vitorio Tartarotti Bairro Belvedere</t>
  </si>
  <si>
    <t xml:space="preserve">     Implantação de Pista de Caminhada com Sinalização Paralela à Estrada de Caravaggio</t>
  </si>
  <si>
    <t xml:space="preserve">     Construção De Mirante, Banheiros e Um Centro De Atendimento Ao Turista, No Santuário De Nossa Senhora De Caravaggio</t>
  </si>
  <si>
    <t xml:space="preserve">      Pavimentação Asfáltica da Estrada Fr 60 Linha Jacinto</t>
  </si>
  <si>
    <t>12.172,00m²</t>
  </si>
  <si>
    <t>2º QUADRIMESTRE DE 2019</t>
  </si>
  <si>
    <t>ANEXO IV - DADOS GERAIS PARA O ACOMPANHAMENTO DAS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</si>
</sst>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&quot;\ * #,##0.00_);_(&quot;R$&quot;\ * \(#,##0.00\);_(&quot;R$&quot;\ * &quot;-&quot;??_);_(@_)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165" fontId="3" fillId="0" borderId="8" xfId="1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5" fontId="3" fillId="2" borderId="8" xfId="1" applyNumberFormat="1" applyFont="1" applyFill="1" applyBorder="1" applyAlignment="1">
      <alignment horizontal="center" vertical="center"/>
    </xf>
    <xf numFmtId="10" fontId="3" fillId="2" borderId="9" xfId="2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165" fontId="3" fillId="0" borderId="8" xfId="1" applyNumberFormat="1" applyFont="1" applyBorder="1" applyAlignment="1">
      <alignment horizontal="center"/>
    </xf>
    <xf numFmtId="10" fontId="3" fillId="0" borderId="9" xfId="2" applyNumberFormat="1" applyFont="1" applyBorder="1" applyAlignment="1">
      <alignment horizontal="center"/>
    </xf>
    <xf numFmtId="165" fontId="2" fillId="0" borderId="20" xfId="1" applyNumberFormat="1" applyFont="1" applyBorder="1" applyAlignment="1">
      <alignment horizontal="center"/>
    </xf>
    <xf numFmtId="10" fontId="2" fillId="0" borderId="21" xfId="2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165" fontId="3" fillId="0" borderId="11" xfId="1" applyNumberFormat="1" applyFont="1" applyBorder="1" applyAlignment="1">
      <alignment horizontal="center" vertical="center"/>
    </xf>
    <xf numFmtId="10" fontId="3" fillId="0" borderId="12" xfId="2" applyNumberFormat="1" applyFont="1" applyBorder="1" applyAlignment="1">
      <alignment horizontal="center" vertical="center"/>
    </xf>
    <xf numFmtId="165" fontId="3" fillId="0" borderId="11" xfId="1" applyNumberFormat="1" applyFont="1" applyBorder="1" applyAlignment="1">
      <alignment horizontal="center" vertical="center"/>
    </xf>
    <xf numFmtId="10" fontId="3" fillId="0" borderId="12" xfId="2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/>
    </xf>
    <xf numFmtId="165" fontId="3" fillId="0" borderId="11" xfId="1" applyNumberFormat="1" applyFont="1" applyBorder="1" applyAlignment="1">
      <alignment horizontal="center" vertical="center"/>
    </xf>
    <xf numFmtId="165" fontId="3" fillId="0" borderId="15" xfId="1" applyNumberFormat="1" applyFont="1" applyBorder="1" applyAlignment="1">
      <alignment horizontal="center" vertical="center"/>
    </xf>
    <xf numFmtId="10" fontId="3" fillId="0" borderId="12" xfId="2" applyNumberFormat="1" applyFont="1" applyBorder="1" applyAlignment="1">
      <alignment horizontal="center" vertical="center"/>
    </xf>
    <xf numFmtId="165" fontId="3" fillId="0" borderId="11" xfId="1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/>
    </xf>
    <xf numFmtId="10" fontId="3" fillId="0" borderId="12" xfId="2" applyNumberFormat="1" applyFont="1" applyBorder="1" applyAlignment="1">
      <alignment horizontal="center" vertical="center"/>
    </xf>
    <xf numFmtId="10" fontId="3" fillId="0" borderId="16" xfId="2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165" fontId="3" fillId="0" borderId="11" xfId="1" applyNumberFormat="1" applyFont="1" applyBorder="1" applyAlignment="1">
      <alignment horizontal="center" vertical="center"/>
    </xf>
    <xf numFmtId="165" fontId="3" fillId="0" borderId="15" xfId="1" applyNumberFormat="1" applyFont="1" applyBorder="1" applyAlignment="1">
      <alignment horizontal="center" vertical="center"/>
    </xf>
    <xf numFmtId="165" fontId="3" fillId="0" borderId="17" xfId="1" applyNumberFormat="1" applyFont="1" applyBorder="1" applyAlignment="1">
      <alignment horizontal="center" vertical="center"/>
    </xf>
    <xf numFmtId="10" fontId="3" fillId="0" borderId="18" xfId="2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8"/>
  <sheetViews>
    <sheetView tabSelected="1" topLeftCell="B1" zoomScaleNormal="100" workbookViewId="0">
      <selection activeCell="C81" sqref="A81:XFD82"/>
    </sheetView>
  </sheetViews>
  <sheetFormatPr defaultRowHeight="15.75" x14ac:dyDescent="0.25"/>
  <cols>
    <col min="1" max="1" width="5.7109375" style="1" customWidth="1"/>
    <col min="2" max="2" width="10.7109375" style="2" customWidth="1"/>
    <col min="3" max="3" width="70.7109375" style="1" customWidth="1"/>
    <col min="4" max="4" width="20.7109375" style="3" customWidth="1"/>
    <col min="5" max="8" width="20.7109375" style="1" customWidth="1"/>
    <col min="9" max="9" width="5.7109375" style="1" customWidth="1"/>
    <col min="10" max="16384" width="9.140625" style="1"/>
  </cols>
  <sheetData>
    <row r="2" spans="2:8" x14ac:dyDescent="0.25">
      <c r="B2" s="36" t="s">
        <v>0</v>
      </c>
      <c r="C2" s="36"/>
      <c r="D2" s="36"/>
      <c r="E2" s="36"/>
      <c r="F2" s="36"/>
      <c r="G2" s="36"/>
      <c r="H2" s="36"/>
    </row>
    <row r="3" spans="2:8" x14ac:dyDescent="0.25">
      <c r="B3" s="36" t="s">
        <v>171</v>
      </c>
      <c r="C3" s="36"/>
      <c r="D3" s="36"/>
      <c r="E3" s="36"/>
      <c r="F3" s="36"/>
      <c r="G3" s="36"/>
      <c r="H3" s="36"/>
    </row>
    <row r="4" spans="2:8" x14ac:dyDescent="0.25">
      <c r="B4" s="36" t="s">
        <v>1</v>
      </c>
      <c r="C4" s="36"/>
      <c r="D4" s="36"/>
      <c r="E4" s="36"/>
      <c r="F4" s="36"/>
      <c r="G4" s="36"/>
      <c r="H4" s="36"/>
    </row>
    <row r="5" spans="2:8" x14ac:dyDescent="0.25">
      <c r="B5" s="36" t="s">
        <v>170</v>
      </c>
      <c r="C5" s="36"/>
      <c r="D5" s="36"/>
      <c r="E5" s="36"/>
      <c r="F5" s="36"/>
      <c r="G5" s="36"/>
      <c r="H5" s="36"/>
    </row>
    <row r="6" spans="2:8" ht="16.5" thickBot="1" x14ac:dyDescent="0.3"/>
    <row r="7" spans="2:8" ht="16.5" thickBot="1" x14ac:dyDescent="0.3">
      <c r="B7" s="37" t="s">
        <v>2</v>
      </c>
      <c r="C7" s="38"/>
      <c r="D7" s="38"/>
      <c r="E7" s="38"/>
      <c r="F7" s="38"/>
      <c r="G7" s="38"/>
      <c r="H7" s="39"/>
    </row>
    <row r="8" spans="2:8" ht="16.5" thickBot="1" x14ac:dyDescent="0.3"/>
    <row r="9" spans="2:8" ht="15.75" customHeight="1" x14ac:dyDescent="0.25">
      <c r="B9" s="44" t="s">
        <v>3</v>
      </c>
      <c r="C9" s="40" t="s">
        <v>4</v>
      </c>
      <c r="D9" s="40" t="s">
        <v>5</v>
      </c>
      <c r="E9" s="40" t="s">
        <v>6</v>
      </c>
      <c r="F9" s="40" t="s">
        <v>7</v>
      </c>
      <c r="G9" s="40" t="s">
        <v>8</v>
      </c>
      <c r="H9" s="42" t="s">
        <v>9</v>
      </c>
    </row>
    <row r="10" spans="2:8" x14ac:dyDescent="0.25">
      <c r="B10" s="45"/>
      <c r="C10" s="41"/>
      <c r="D10" s="41"/>
      <c r="E10" s="41"/>
      <c r="F10" s="41"/>
      <c r="G10" s="41"/>
      <c r="H10" s="43"/>
    </row>
    <row r="11" spans="2:8" x14ac:dyDescent="0.25">
      <c r="B11" s="45"/>
      <c r="C11" s="41"/>
      <c r="D11" s="41"/>
      <c r="E11" s="41"/>
      <c r="F11" s="41"/>
      <c r="G11" s="41"/>
      <c r="H11" s="43"/>
    </row>
    <row r="12" spans="2:8" ht="15.75" customHeight="1" x14ac:dyDescent="0.25">
      <c r="B12" s="29" t="s">
        <v>32</v>
      </c>
      <c r="C12" s="4" t="s">
        <v>33</v>
      </c>
      <c r="D12" s="7"/>
      <c r="E12" s="8"/>
      <c r="F12" s="8"/>
      <c r="G12" s="8"/>
      <c r="H12" s="9"/>
    </row>
    <row r="13" spans="2:8" ht="15.75" customHeight="1" x14ac:dyDescent="0.25">
      <c r="B13" s="31"/>
      <c r="C13" s="5" t="s">
        <v>34</v>
      </c>
      <c r="D13" s="10" t="s">
        <v>35</v>
      </c>
      <c r="E13" s="11">
        <v>30000</v>
      </c>
      <c r="F13" s="11">
        <v>163000</v>
      </c>
      <c r="G13" s="11">
        <v>19614.16</v>
      </c>
      <c r="H13" s="12">
        <f t="shared" ref="H13" si="0">G13/F13</f>
        <v>0.1203322699386503</v>
      </c>
    </row>
    <row r="14" spans="2:8" ht="15.75" customHeight="1" x14ac:dyDescent="0.25">
      <c r="B14" s="29" t="s">
        <v>14</v>
      </c>
      <c r="C14" s="4" t="s">
        <v>10</v>
      </c>
      <c r="D14" s="7"/>
      <c r="E14" s="8"/>
      <c r="F14" s="8"/>
      <c r="G14" s="8"/>
      <c r="H14" s="9"/>
    </row>
    <row r="15" spans="2:8" ht="15.75" customHeight="1" x14ac:dyDescent="0.25">
      <c r="B15" s="30"/>
      <c r="C15" s="5" t="s">
        <v>36</v>
      </c>
      <c r="D15" s="20" t="s">
        <v>107</v>
      </c>
      <c r="E15" s="32">
        <v>2329150</v>
      </c>
      <c r="F15" s="32">
        <v>3914398.9</v>
      </c>
      <c r="G15" s="6">
        <v>46466.559999999998</v>
      </c>
      <c r="H15" s="27">
        <f>SUM(G15:G31)/F15</f>
        <v>0.63055890139351933</v>
      </c>
    </row>
    <row r="16" spans="2:8" ht="15.75" customHeight="1" x14ac:dyDescent="0.25">
      <c r="B16" s="30"/>
      <c r="C16" s="5" t="s">
        <v>97</v>
      </c>
      <c r="D16" s="10" t="s">
        <v>98</v>
      </c>
      <c r="E16" s="33"/>
      <c r="F16" s="33"/>
      <c r="G16" s="6">
        <f>152738.19+1260.68+37341.61</f>
        <v>191340.47999999998</v>
      </c>
      <c r="H16" s="28"/>
    </row>
    <row r="17" spans="2:8" ht="15.75" customHeight="1" x14ac:dyDescent="0.25">
      <c r="B17" s="30"/>
      <c r="C17" s="5" t="s">
        <v>105</v>
      </c>
      <c r="D17" s="10" t="s">
        <v>106</v>
      </c>
      <c r="E17" s="33"/>
      <c r="F17" s="33"/>
      <c r="G17" s="6">
        <v>171553.95</v>
      </c>
      <c r="H17" s="28"/>
    </row>
    <row r="18" spans="2:8" ht="15.75" customHeight="1" x14ac:dyDescent="0.25">
      <c r="B18" s="30"/>
      <c r="C18" s="5" t="s">
        <v>140</v>
      </c>
      <c r="D18" s="10" t="s">
        <v>11</v>
      </c>
      <c r="E18" s="33"/>
      <c r="F18" s="33"/>
      <c r="G18" s="6">
        <f>372</f>
        <v>372</v>
      </c>
      <c r="H18" s="28"/>
    </row>
    <row r="19" spans="2:8" ht="15.75" customHeight="1" x14ac:dyDescent="0.25">
      <c r="B19" s="30"/>
      <c r="C19" s="5" t="s">
        <v>141</v>
      </c>
      <c r="D19" s="10"/>
      <c r="E19" s="33"/>
      <c r="F19" s="33"/>
      <c r="G19" s="6">
        <f>372</f>
        <v>372</v>
      </c>
      <c r="H19" s="28"/>
    </row>
    <row r="20" spans="2:8" ht="15.75" customHeight="1" x14ac:dyDescent="0.25">
      <c r="B20" s="30"/>
      <c r="C20" s="5" t="s">
        <v>142</v>
      </c>
      <c r="D20" s="26" t="s">
        <v>143</v>
      </c>
      <c r="E20" s="33"/>
      <c r="F20" s="33"/>
      <c r="G20" s="6">
        <f>182294.58+10104.04</f>
        <v>192398.62</v>
      </c>
      <c r="H20" s="28"/>
    </row>
    <row r="21" spans="2:8" ht="15.75" customHeight="1" x14ac:dyDescent="0.25">
      <c r="B21" s="30"/>
      <c r="C21" s="5" t="s">
        <v>144</v>
      </c>
      <c r="D21" s="10" t="s">
        <v>146</v>
      </c>
      <c r="E21" s="33"/>
      <c r="F21" s="33"/>
      <c r="G21" s="6">
        <f>252998.77+510227.92+119168.04+1525+13315.73+26854.11+6272.01</f>
        <v>930361.58</v>
      </c>
      <c r="H21" s="28"/>
    </row>
    <row r="22" spans="2:8" ht="15.75" customHeight="1" x14ac:dyDescent="0.25">
      <c r="B22" s="30"/>
      <c r="C22" s="5" t="s">
        <v>145</v>
      </c>
      <c r="D22" s="10" t="s">
        <v>156</v>
      </c>
      <c r="E22" s="33"/>
      <c r="F22" s="33"/>
      <c r="G22" s="6">
        <f>287716.84+15143</f>
        <v>302859.84000000003</v>
      </c>
      <c r="H22" s="28"/>
    </row>
    <row r="23" spans="2:8" ht="31.5" x14ac:dyDescent="0.25">
      <c r="B23" s="30"/>
      <c r="C23" s="5" t="s">
        <v>147</v>
      </c>
      <c r="D23" s="10"/>
      <c r="E23" s="33"/>
      <c r="F23" s="33"/>
      <c r="G23" s="6">
        <f>5775</f>
        <v>5775</v>
      </c>
      <c r="H23" s="28"/>
    </row>
    <row r="24" spans="2:8" ht="15.75" customHeight="1" x14ac:dyDescent="0.25">
      <c r="B24" s="30"/>
      <c r="C24" s="5" t="s">
        <v>148</v>
      </c>
      <c r="D24" s="10" t="s">
        <v>149</v>
      </c>
      <c r="E24" s="33"/>
      <c r="F24" s="33"/>
      <c r="G24" s="6">
        <f>5078.39+20+100532.11+398256.07</f>
        <v>503886.57</v>
      </c>
      <c r="H24" s="28"/>
    </row>
    <row r="25" spans="2:8" ht="15.75" customHeight="1" x14ac:dyDescent="0.25">
      <c r="B25" s="30"/>
      <c r="C25" s="5" t="s">
        <v>150</v>
      </c>
      <c r="D25" s="10"/>
      <c r="E25" s="33"/>
      <c r="F25" s="33"/>
      <c r="G25" s="6">
        <f>3438.75*4+2620</f>
        <v>16375</v>
      </c>
      <c r="H25" s="28"/>
    </row>
    <row r="26" spans="2:8" ht="15.75" customHeight="1" x14ac:dyDescent="0.25">
      <c r="B26" s="30"/>
      <c r="C26" s="5" t="s">
        <v>151</v>
      </c>
      <c r="D26" s="10"/>
      <c r="E26" s="33"/>
      <c r="F26" s="33"/>
      <c r="G26" s="6">
        <f>874.8+475.2</f>
        <v>1350</v>
      </c>
      <c r="H26" s="28"/>
    </row>
    <row r="27" spans="2:8" ht="31.5" x14ac:dyDescent="0.25">
      <c r="B27" s="30"/>
      <c r="C27" s="5" t="s">
        <v>152</v>
      </c>
      <c r="D27" s="10"/>
      <c r="E27" s="33"/>
      <c r="F27" s="33"/>
      <c r="G27" s="6">
        <f>2882+11576+2469.79</f>
        <v>16927.79</v>
      </c>
      <c r="H27" s="28"/>
    </row>
    <row r="28" spans="2:8" x14ac:dyDescent="0.25">
      <c r="B28" s="30"/>
      <c r="C28" s="5" t="s">
        <v>157</v>
      </c>
      <c r="D28" s="10"/>
      <c r="E28" s="33"/>
      <c r="F28" s="33"/>
      <c r="G28" s="6">
        <f>3500+47250</f>
        <v>50750</v>
      </c>
      <c r="H28" s="28"/>
    </row>
    <row r="29" spans="2:8" x14ac:dyDescent="0.25">
      <c r="B29" s="30"/>
      <c r="C29" s="5" t="s">
        <v>153</v>
      </c>
      <c r="D29" s="10"/>
      <c r="E29" s="33"/>
      <c r="F29" s="33"/>
      <c r="G29" s="6">
        <f>1344+3111.25+3438.75+3275+1792</f>
        <v>12961</v>
      </c>
      <c r="H29" s="28"/>
    </row>
    <row r="30" spans="2:8" x14ac:dyDescent="0.25">
      <c r="B30" s="30"/>
      <c r="C30" s="5" t="s">
        <v>154</v>
      </c>
      <c r="D30" s="10"/>
      <c r="E30" s="33"/>
      <c r="F30" s="33"/>
      <c r="G30" s="6">
        <f>3006+5235.93+1036+2516+2960+2960+3036+320</f>
        <v>21069.93</v>
      </c>
      <c r="H30" s="28"/>
    </row>
    <row r="31" spans="2:8" x14ac:dyDescent="0.25">
      <c r="B31" s="31"/>
      <c r="C31" s="5" t="s">
        <v>155</v>
      </c>
      <c r="D31" s="10"/>
      <c r="E31" s="34"/>
      <c r="F31" s="34"/>
      <c r="G31" s="6">
        <f>3438.75</f>
        <v>3438.75</v>
      </c>
      <c r="H31" s="35"/>
    </row>
    <row r="32" spans="2:8" ht="15.75" customHeight="1" x14ac:dyDescent="0.25">
      <c r="B32" s="29" t="s">
        <v>16</v>
      </c>
      <c r="C32" s="4" t="s">
        <v>37</v>
      </c>
      <c r="D32" s="7"/>
      <c r="E32" s="8"/>
      <c r="F32" s="8"/>
      <c r="G32" s="8"/>
      <c r="H32" s="9"/>
    </row>
    <row r="33" spans="2:8" ht="15.75" customHeight="1" x14ac:dyDescent="0.25">
      <c r="B33" s="30"/>
      <c r="C33" s="5" t="s">
        <v>38</v>
      </c>
      <c r="D33" s="10" t="s">
        <v>110</v>
      </c>
      <c r="E33" s="33">
        <v>615000</v>
      </c>
      <c r="F33" s="33">
        <v>675898.24</v>
      </c>
      <c r="G33" s="11">
        <v>37658.559999999998</v>
      </c>
      <c r="H33" s="28">
        <f>SUM(G33:G34)/F33</f>
        <v>0.19541971288459042</v>
      </c>
    </row>
    <row r="34" spans="2:8" ht="15.75" customHeight="1" x14ac:dyDescent="0.25">
      <c r="B34" s="30"/>
      <c r="C34" s="5" t="s">
        <v>109</v>
      </c>
      <c r="D34" s="10" t="s">
        <v>108</v>
      </c>
      <c r="E34" s="33"/>
      <c r="F34" s="33"/>
      <c r="G34" s="11">
        <f>30365.91+21602.67+105.68+42351.02</f>
        <v>94425.279999999999</v>
      </c>
      <c r="H34" s="28"/>
    </row>
    <row r="35" spans="2:8" ht="15.75" customHeight="1" x14ac:dyDescent="0.25">
      <c r="B35" s="29" t="s">
        <v>18</v>
      </c>
      <c r="C35" s="4" t="s">
        <v>39</v>
      </c>
      <c r="D35" s="7"/>
      <c r="E35" s="8"/>
      <c r="F35" s="8"/>
      <c r="G35" s="8"/>
      <c r="H35" s="9"/>
    </row>
    <row r="36" spans="2:8" ht="15.75" customHeight="1" x14ac:dyDescent="0.25">
      <c r="B36" s="31"/>
      <c r="C36" s="5" t="s">
        <v>41</v>
      </c>
      <c r="D36" s="10" t="s">
        <v>40</v>
      </c>
      <c r="E36" s="11">
        <v>100000</v>
      </c>
      <c r="F36" s="11">
        <v>100000</v>
      </c>
      <c r="G36" s="11">
        <f>49137.24</f>
        <v>49137.24</v>
      </c>
      <c r="H36" s="12">
        <f t="shared" ref="H36" si="1">G36/F36</f>
        <v>0.49137239999999999</v>
      </c>
    </row>
    <row r="37" spans="2:8" ht="15.75" customHeight="1" x14ac:dyDescent="0.25">
      <c r="B37" s="29" t="s">
        <v>44</v>
      </c>
      <c r="C37" s="4" t="s">
        <v>12</v>
      </c>
      <c r="D37" s="7"/>
      <c r="E37" s="8"/>
      <c r="F37" s="8"/>
      <c r="G37" s="8"/>
      <c r="H37" s="9"/>
    </row>
    <row r="38" spans="2:8" ht="15.75" customHeight="1" x14ac:dyDescent="0.25">
      <c r="B38" s="31"/>
      <c r="C38" s="5" t="s">
        <v>42</v>
      </c>
      <c r="D38" s="10" t="s">
        <v>43</v>
      </c>
      <c r="E38" s="11">
        <v>22100</v>
      </c>
      <c r="F38" s="11">
        <v>2150</v>
      </c>
      <c r="G38" s="11">
        <v>0</v>
      </c>
      <c r="H38" s="12">
        <f t="shared" ref="H38" si="2">G38/F38</f>
        <v>0</v>
      </c>
    </row>
    <row r="39" spans="2:8" ht="15.75" customHeight="1" x14ac:dyDescent="0.25">
      <c r="B39" s="29" t="s">
        <v>19</v>
      </c>
      <c r="C39" s="4" t="s">
        <v>45</v>
      </c>
      <c r="D39" s="7"/>
      <c r="E39" s="8"/>
      <c r="F39" s="8"/>
      <c r="G39" s="8"/>
      <c r="H39" s="9"/>
    </row>
    <row r="40" spans="2:8" ht="15.75" customHeight="1" x14ac:dyDescent="0.25">
      <c r="B40" s="30"/>
      <c r="C40" s="5" t="s">
        <v>111</v>
      </c>
      <c r="D40" s="20" t="s">
        <v>11</v>
      </c>
      <c r="E40" s="33">
        <v>70000</v>
      </c>
      <c r="F40" s="33">
        <v>76664.94</v>
      </c>
      <c r="G40" s="11">
        <f>22061+1012+14376+3001.5+3780+4280.1+2684</f>
        <v>51194.6</v>
      </c>
      <c r="H40" s="28">
        <f>SUM(G40:G41)/F40</f>
        <v>0.86994915798538419</v>
      </c>
    </row>
    <row r="41" spans="2:8" ht="15.75" customHeight="1" x14ac:dyDescent="0.25">
      <c r="B41" s="30"/>
      <c r="C41" s="5" t="s">
        <v>112</v>
      </c>
      <c r="D41" s="20" t="s">
        <v>11</v>
      </c>
      <c r="E41" s="33"/>
      <c r="F41" s="33"/>
      <c r="G41" s="11">
        <v>15500</v>
      </c>
      <c r="H41" s="28"/>
    </row>
    <row r="42" spans="2:8" ht="15.75" customHeight="1" x14ac:dyDescent="0.25">
      <c r="B42" s="29" t="s">
        <v>46</v>
      </c>
      <c r="C42" s="4" t="s">
        <v>47</v>
      </c>
      <c r="D42" s="7"/>
      <c r="E42" s="8"/>
      <c r="F42" s="8"/>
      <c r="G42" s="8"/>
      <c r="H42" s="9"/>
    </row>
    <row r="43" spans="2:8" ht="15.75" customHeight="1" x14ac:dyDescent="0.25">
      <c r="B43" s="30"/>
      <c r="C43" s="5" t="s">
        <v>113</v>
      </c>
      <c r="D43" s="10" t="s">
        <v>114</v>
      </c>
      <c r="E43" s="32">
        <v>1740000</v>
      </c>
      <c r="F43" s="32">
        <f>10296290</f>
        <v>10296290</v>
      </c>
      <c r="G43" s="11">
        <f>123252.82+1297+3891+3891+3891+3120+3120+1680+1080+1140+4180</f>
        <v>150542.82</v>
      </c>
      <c r="H43" s="27">
        <f>SUM(G43:G54)/F43</f>
        <v>0.24472713181155542</v>
      </c>
    </row>
    <row r="44" spans="2:8" ht="15.75" customHeight="1" x14ac:dyDescent="0.25">
      <c r="B44" s="30"/>
      <c r="C44" s="5" t="s">
        <v>115</v>
      </c>
      <c r="D44" s="10" t="s">
        <v>164</v>
      </c>
      <c r="E44" s="33"/>
      <c r="F44" s="33"/>
      <c r="G44" s="11">
        <f>384279.52+4470.51+84939.65</f>
        <v>473689.68000000005</v>
      </c>
      <c r="H44" s="28"/>
    </row>
    <row r="45" spans="2:8" ht="15.75" customHeight="1" x14ac:dyDescent="0.25">
      <c r="B45" s="30"/>
      <c r="C45" s="5" t="s">
        <v>116</v>
      </c>
      <c r="D45" s="10" t="s">
        <v>48</v>
      </c>
      <c r="E45" s="33"/>
      <c r="F45" s="33"/>
      <c r="G45" s="11">
        <v>66359.38</v>
      </c>
      <c r="H45" s="28"/>
    </row>
    <row r="46" spans="2:8" ht="15.75" customHeight="1" x14ac:dyDescent="0.25">
      <c r="B46" s="30"/>
      <c r="C46" s="5" t="s">
        <v>117</v>
      </c>
      <c r="D46" s="10" t="s">
        <v>118</v>
      </c>
      <c r="E46" s="33"/>
      <c r="F46" s="33"/>
      <c r="G46" s="11">
        <v>336057.77</v>
      </c>
      <c r="H46" s="28"/>
    </row>
    <row r="47" spans="2:8" ht="15.75" customHeight="1" x14ac:dyDescent="0.25">
      <c r="B47" s="30"/>
      <c r="C47" s="5" t="s">
        <v>119</v>
      </c>
      <c r="D47" s="10" t="s">
        <v>120</v>
      </c>
      <c r="E47" s="33"/>
      <c r="F47" s="33"/>
      <c r="G47" s="11">
        <v>155023.70000000001</v>
      </c>
      <c r="H47" s="28"/>
    </row>
    <row r="48" spans="2:8" ht="15.75" customHeight="1" x14ac:dyDescent="0.25">
      <c r="B48" s="30"/>
      <c r="C48" s="5" t="s">
        <v>121</v>
      </c>
      <c r="D48" s="10" t="s">
        <v>122</v>
      </c>
      <c r="E48" s="33"/>
      <c r="F48" s="33"/>
      <c r="G48" s="11">
        <v>310626.28000000003</v>
      </c>
      <c r="H48" s="28"/>
    </row>
    <row r="49" spans="2:8" ht="15.75" customHeight="1" x14ac:dyDescent="0.25">
      <c r="B49" s="30"/>
      <c r="C49" s="5" t="s">
        <v>123</v>
      </c>
      <c r="D49" s="10" t="s">
        <v>11</v>
      </c>
      <c r="E49" s="33"/>
      <c r="F49" s="33"/>
      <c r="G49" s="11">
        <f>8260.25+2914.75+5000.32</f>
        <v>16175.32</v>
      </c>
      <c r="H49" s="28"/>
    </row>
    <row r="50" spans="2:8" ht="15.75" customHeight="1" x14ac:dyDescent="0.25">
      <c r="B50" s="30"/>
      <c r="C50" s="5" t="s">
        <v>158</v>
      </c>
      <c r="D50" s="10"/>
      <c r="E50" s="33"/>
      <c r="F50" s="33"/>
      <c r="G50" s="11">
        <f>30000+10472+324.25+4215.25+1118.8+1621.01+30000+9520+5481+19992+1560+640.76+1003.79+2447.24+30000+18364.08+2040+480+2280</f>
        <v>171560.18</v>
      </c>
      <c r="H50" s="28"/>
    </row>
    <row r="51" spans="2:8" ht="15.75" customHeight="1" x14ac:dyDescent="0.25">
      <c r="B51" s="30"/>
      <c r="C51" s="5" t="s">
        <v>161</v>
      </c>
      <c r="D51" s="10"/>
      <c r="E51" s="33"/>
      <c r="F51" s="33"/>
      <c r="G51" s="11">
        <f>30000+978.95</f>
        <v>30978.95</v>
      </c>
      <c r="H51" s="28"/>
    </row>
    <row r="52" spans="2:8" ht="15.75" customHeight="1" x14ac:dyDescent="0.25">
      <c r="B52" s="30"/>
      <c r="C52" s="5" t="s">
        <v>159</v>
      </c>
      <c r="D52" s="10" t="s">
        <v>160</v>
      </c>
      <c r="E52" s="33"/>
      <c r="F52" s="33"/>
      <c r="G52" s="11">
        <f>8313.9+11914.05+157963.93+226366.77</f>
        <v>404558.65</v>
      </c>
      <c r="H52" s="28"/>
    </row>
    <row r="53" spans="2:8" ht="15.75" customHeight="1" x14ac:dyDescent="0.25">
      <c r="B53" s="30"/>
      <c r="C53" s="5" t="s">
        <v>162</v>
      </c>
      <c r="D53" s="10" t="s">
        <v>163</v>
      </c>
      <c r="E53" s="33"/>
      <c r="F53" s="33"/>
      <c r="G53" s="11">
        <f>19810.44+376398.35</f>
        <v>396208.79</v>
      </c>
      <c r="H53" s="28"/>
    </row>
    <row r="54" spans="2:8" ht="15.75" customHeight="1" x14ac:dyDescent="0.25">
      <c r="B54" s="31"/>
      <c r="C54" s="5" t="s">
        <v>165</v>
      </c>
      <c r="D54" s="10"/>
      <c r="E54" s="34"/>
      <c r="F54" s="34"/>
      <c r="G54" s="11">
        <f>4608+3072+320</f>
        <v>8000</v>
      </c>
      <c r="H54" s="35"/>
    </row>
    <row r="55" spans="2:8" ht="15.75" customHeight="1" x14ac:dyDescent="0.25">
      <c r="B55" s="29" t="s">
        <v>20</v>
      </c>
      <c r="C55" s="4" t="s">
        <v>49</v>
      </c>
      <c r="D55" s="7"/>
      <c r="E55" s="8"/>
      <c r="F55" s="8"/>
      <c r="G55" s="8"/>
      <c r="H55" s="9"/>
    </row>
    <row r="56" spans="2:8" ht="15.75" customHeight="1" x14ac:dyDescent="0.25">
      <c r="B56" s="31"/>
      <c r="C56" s="5" t="s">
        <v>13</v>
      </c>
      <c r="D56" s="10" t="s">
        <v>50</v>
      </c>
      <c r="E56" s="16">
        <v>45100</v>
      </c>
      <c r="F56" s="24">
        <f>1919807.46</f>
        <v>1919807.46</v>
      </c>
      <c r="G56" s="11">
        <f>1694</f>
        <v>1694</v>
      </c>
      <c r="H56" s="17">
        <f>G56/F56</f>
        <v>8.8238015285136979E-4</v>
      </c>
    </row>
    <row r="57" spans="2:8" ht="15.75" customHeight="1" x14ac:dyDescent="0.25">
      <c r="B57" s="29" t="s">
        <v>21</v>
      </c>
      <c r="C57" s="4" t="s">
        <v>51</v>
      </c>
      <c r="D57" s="7"/>
      <c r="E57" s="8"/>
      <c r="F57" s="8"/>
      <c r="G57" s="8"/>
      <c r="H57" s="9"/>
    </row>
    <row r="58" spans="2:8" ht="15.75" customHeight="1" x14ac:dyDescent="0.25">
      <c r="B58" s="30"/>
      <c r="C58" s="5" t="s">
        <v>52</v>
      </c>
      <c r="D58" s="10" t="s">
        <v>15</v>
      </c>
      <c r="E58" s="32">
        <v>991000</v>
      </c>
      <c r="F58" s="32">
        <v>1021000</v>
      </c>
      <c r="G58" s="11">
        <f>20771.98+8902.28+48712.67+6858.38+785.88+1087.77+2300+4438.5+819+162747.41+21036.22+469.75+3634.18</f>
        <v>282564.01999999996</v>
      </c>
      <c r="H58" s="27">
        <f>SUM(G58:G60)/F58</f>
        <v>0.4054118217433888</v>
      </c>
    </row>
    <row r="59" spans="2:8" ht="15.75" customHeight="1" x14ac:dyDescent="0.25">
      <c r="B59" s="30"/>
      <c r="C59" s="5" t="s">
        <v>124</v>
      </c>
      <c r="D59" s="10" t="s">
        <v>101</v>
      </c>
      <c r="E59" s="33"/>
      <c r="F59" s="33"/>
      <c r="G59" s="11">
        <f>29760.34+1601.11+45000+55000</f>
        <v>131361.45000000001</v>
      </c>
      <c r="H59" s="28"/>
    </row>
    <row r="60" spans="2:8" ht="15.75" customHeight="1" x14ac:dyDescent="0.25">
      <c r="B60" s="31"/>
      <c r="C60" s="5" t="s">
        <v>125</v>
      </c>
      <c r="D60" s="10" t="s">
        <v>11</v>
      </c>
      <c r="E60" s="34"/>
      <c r="F60" s="34"/>
      <c r="G60" s="11">
        <v>0</v>
      </c>
      <c r="H60" s="35"/>
    </row>
    <row r="61" spans="2:8" ht="15.75" customHeight="1" x14ac:dyDescent="0.25">
      <c r="B61" s="29" t="s">
        <v>53</v>
      </c>
      <c r="C61" s="4" t="s">
        <v>54</v>
      </c>
      <c r="D61" s="7"/>
      <c r="E61" s="8"/>
      <c r="F61" s="8"/>
      <c r="G61" s="8"/>
      <c r="H61" s="9"/>
    </row>
    <row r="62" spans="2:8" ht="15.75" customHeight="1" x14ac:dyDescent="0.25">
      <c r="B62" s="31"/>
      <c r="C62" s="5" t="s">
        <v>55</v>
      </c>
      <c r="D62" s="10" t="s">
        <v>11</v>
      </c>
      <c r="E62" s="18">
        <v>10000</v>
      </c>
      <c r="F62" s="18">
        <v>10000</v>
      </c>
      <c r="G62" s="11">
        <v>0</v>
      </c>
      <c r="H62" s="19">
        <f>G62/F62</f>
        <v>0</v>
      </c>
    </row>
    <row r="63" spans="2:8" ht="15.75" customHeight="1" x14ac:dyDescent="0.25">
      <c r="B63" s="29" t="s">
        <v>27</v>
      </c>
      <c r="C63" s="4" t="s">
        <v>56</v>
      </c>
      <c r="D63" s="7"/>
      <c r="E63" s="8"/>
      <c r="F63" s="8"/>
      <c r="G63" s="8"/>
      <c r="H63" s="9"/>
    </row>
    <row r="64" spans="2:8" ht="15.75" customHeight="1" x14ac:dyDescent="0.25">
      <c r="B64" s="31"/>
      <c r="C64" s="5" t="s">
        <v>57</v>
      </c>
      <c r="D64" s="10" t="s">
        <v>11</v>
      </c>
      <c r="E64" s="18">
        <v>31000</v>
      </c>
      <c r="F64" s="18">
        <f>741000</f>
        <v>741000</v>
      </c>
      <c r="G64" s="11">
        <v>0</v>
      </c>
      <c r="H64" s="19">
        <f>G64/F64</f>
        <v>0</v>
      </c>
    </row>
    <row r="65" spans="2:8" ht="15.75" customHeight="1" x14ac:dyDescent="0.25">
      <c r="B65" s="29" t="s">
        <v>58</v>
      </c>
      <c r="C65" s="4" t="s">
        <v>59</v>
      </c>
      <c r="D65" s="7"/>
      <c r="E65" s="8"/>
      <c r="F65" s="8"/>
      <c r="G65" s="8"/>
      <c r="H65" s="9"/>
    </row>
    <row r="66" spans="2:8" ht="15.75" customHeight="1" x14ac:dyDescent="0.25">
      <c r="B66" s="30"/>
      <c r="C66" s="5" t="s">
        <v>60</v>
      </c>
      <c r="D66" s="10" t="s">
        <v>17</v>
      </c>
      <c r="E66" s="32">
        <v>1794000</v>
      </c>
      <c r="F66" s="32">
        <v>1819000</v>
      </c>
      <c r="G66" s="11">
        <v>0</v>
      </c>
      <c r="H66" s="27">
        <f>SUM(G66:G67)/F66</f>
        <v>8.5672226498075862E-2</v>
      </c>
    </row>
    <row r="67" spans="2:8" ht="15.75" customHeight="1" x14ac:dyDescent="0.25">
      <c r="B67" s="31"/>
      <c r="C67" s="5" t="s">
        <v>61</v>
      </c>
      <c r="D67" s="10" t="s">
        <v>11</v>
      </c>
      <c r="E67" s="34"/>
      <c r="F67" s="34"/>
      <c r="G67" s="11">
        <f>4520.8+73000.1+748.33+56618.78+20949.77</f>
        <v>155837.78</v>
      </c>
      <c r="H67" s="28"/>
    </row>
    <row r="68" spans="2:8" ht="15.75" customHeight="1" x14ac:dyDescent="0.25">
      <c r="B68" s="29" t="s">
        <v>28</v>
      </c>
      <c r="C68" s="4" t="s">
        <v>62</v>
      </c>
      <c r="D68" s="7"/>
      <c r="E68" s="8"/>
      <c r="F68" s="8"/>
      <c r="G68" s="8"/>
      <c r="H68" s="9"/>
    </row>
    <row r="69" spans="2:8" ht="15.75" customHeight="1" x14ac:dyDescent="0.25">
      <c r="B69" s="30"/>
      <c r="C69" s="5" t="s">
        <v>126</v>
      </c>
      <c r="D69" s="10" t="s">
        <v>11</v>
      </c>
      <c r="E69" s="32">
        <v>1094875</v>
      </c>
      <c r="F69" s="32">
        <f>1127875</f>
        <v>1127875</v>
      </c>
      <c r="G69" s="6">
        <v>1176</v>
      </c>
      <c r="H69" s="27">
        <f>SUM(G69:G72)/F69</f>
        <v>0.19443511027374485</v>
      </c>
    </row>
    <row r="70" spans="2:8" ht="15.75" customHeight="1" x14ac:dyDescent="0.25">
      <c r="B70" s="30"/>
      <c r="C70" s="5" t="s">
        <v>99</v>
      </c>
      <c r="D70" s="10" t="s">
        <v>100</v>
      </c>
      <c r="E70" s="33"/>
      <c r="F70" s="33"/>
      <c r="G70" s="6">
        <f>11109.38+58850.16+865.25+42639.9+41080.3</f>
        <v>154544.99</v>
      </c>
      <c r="H70" s="28"/>
    </row>
    <row r="71" spans="2:8" ht="31.5" x14ac:dyDescent="0.25">
      <c r="B71" s="30"/>
      <c r="C71" s="5" t="s">
        <v>166</v>
      </c>
      <c r="D71" s="10"/>
      <c r="E71" s="33"/>
      <c r="F71" s="33"/>
      <c r="G71" s="6">
        <f>60+6249.64+8813.72+32317.13</f>
        <v>47440.490000000005</v>
      </c>
      <c r="H71" s="28"/>
    </row>
    <row r="72" spans="2:8" ht="31.5" x14ac:dyDescent="0.25">
      <c r="B72" s="31"/>
      <c r="C72" s="5" t="s">
        <v>167</v>
      </c>
      <c r="D72" s="10"/>
      <c r="E72" s="34"/>
      <c r="F72" s="34"/>
      <c r="G72" s="6">
        <f>231.67+15905.35</f>
        <v>16137.02</v>
      </c>
      <c r="H72" s="35"/>
    </row>
    <row r="73" spans="2:8" ht="15.75" customHeight="1" x14ac:dyDescent="0.25">
      <c r="B73" s="29" t="s">
        <v>29</v>
      </c>
      <c r="C73" s="4" t="s">
        <v>63</v>
      </c>
      <c r="D73" s="7"/>
      <c r="E73" s="8"/>
      <c r="F73" s="8"/>
      <c r="G73" s="8"/>
      <c r="H73" s="9"/>
    </row>
    <row r="74" spans="2:8" ht="15.75" customHeight="1" x14ac:dyDescent="0.25">
      <c r="B74" s="31"/>
      <c r="C74" s="5" t="s">
        <v>64</v>
      </c>
      <c r="D74" s="10" t="s">
        <v>11</v>
      </c>
      <c r="E74" s="11">
        <v>30000</v>
      </c>
      <c r="F74" s="11">
        <v>103001</v>
      </c>
      <c r="G74" s="11">
        <v>0</v>
      </c>
      <c r="H74" s="12">
        <f t="shared" ref="H74" si="3">G74/F74</f>
        <v>0</v>
      </c>
    </row>
    <row r="75" spans="2:8" ht="15.75" customHeight="1" x14ac:dyDescent="0.25">
      <c r="B75" s="29" t="s">
        <v>30</v>
      </c>
      <c r="C75" s="4" t="s">
        <v>65</v>
      </c>
      <c r="D75" s="7"/>
      <c r="E75" s="8"/>
      <c r="F75" s="8"/>
      <c r="G75" s="8"/>
      <c r="H75" s="9"/>
    </row>
    <row r="76" spans="2:8" ht="15.75" customHeight="1" x14ac:dyDescent="0.25">
      <c r="B76" s="30"/>
      <c r="C76" s="5" t="s">
        <v>66</v>
      </c>
      <c r="D76" s="10" t="s">
        <v>11</v>
      </c>
      <c r="E76" s="33">
        <v>372750</v>
      </c>
      <c r="F76" s="33">
        <v>401748</v>
      </c>
      <c r="G76" s="11">
        <v>149965.53</v>
      </c>
      <c r="H76" s="27">
        <f>SUM(G76:G77)/F76</f>
        <v>0.71801828509413868</v>
      </c>
    </row>
    <row r="77" spans="2:8" ht="15.75" customHeight="1" x14ac:dyDescent="0.25">
      <c r="B77" s="31"/>
      <c r="C77" s="5" t="s">
        <v>67</v>
      </c>
      <c r="D77" s="10" t="s">
        <v>127</v>
      </c>
      <c r="E77" s="33"/>
      <c r="F77" s="33"/>
      <c r="G77" s="11">
        <f>60084.3+6038.73+797.24+744+70832.61</f>
        <v>138496.88</v>
      </c>
      <c r="H77" s="28"/>
    </row>
    <row r="78" spans="2:8" ht="15.75" customHeight="1" x14ac:dyDescent="0.25">
      <c r="B78" s="29" t="s">
        <v>68</v>
      </c>
      <c r="C78" s="4" t="s">
        <v>69</v>
      </c>
      <c r="D78" s="7"/>
      <c r="E78" s="8"/>
      <c r="F78" s="8"/>
      <c r="G78" s="8"/>
      <c r="H78" s="9"/>
    </row>
    <row r="79" spans="2:8" ht="15.75" customHeight="1" x14ac:dyDescent="0.25">
      <c r="B79" s="30"/>
      <c r="C79" s="5" t="s">
        <v>70</v>
      </c>
      <c r="D79" s="10" t="s">
        <v>11</v>
      </c>
      <c r="E79" s="33">
        <v>6500</v>
      </c>
      <c r="F79" s="33">
        <v>6500</v>
      </c>
      <c r="G79" s="11">
        <v>0</v>
      </c>
      <c r="H79" s="27">
        <f>SUM(G79:G80)/F79</f>
        <v>0</v>
      </c>
    </row>
    <row r="80" spans="2:8" ht="15.75" customHeight="1" x14ac:dyDescent="0.25">
      <c r="B80" s="31"/>
      <c r="C80" s="5" t="s">
        <v>71</v>
      </c>
      <c r="D80" s="10" t="s">
        <v>11</v>
      </c>
      <c r="E80" s="33"/>
      <c r="F80" s="33"/>
      <c r="G80" s="11">
        <v>0</v>
      </c>
      <c r="H80" s="28"/>
    </row>
    <row r="81" spans="2:8" ht="15.75" customHeight="1" x14ac:dyDescent="0.25">
      <c r="B81" s="29" t="s">
        <v>72</v>
      </c>
      <c r="C81" s="4" t="s">
        <v>73</v>
      </c>
      <c r="D81" s="7"/>
      <c r="E81" s="8"/>
      <c r="F81" s="8"/>
      <c r="G81" s="8"/>
      <c r="H81" s="9"/>
    </row>
    <row r="82" spans="2:8" ht="15.75" customHeight="1" x14ac:dyDescent="0.25">
      <c r="B82" s="30"/>
      <c r="C82" s="5" t="s">
        <v>102</v>
      </c>
      <c r="D82" s="10" t="s">
        <v>11</v>
      </c>
      <c r="E82" s="22">
        <v>19900</v>
      </c>
      <c r="F82" s="22">
        <v>25900</v>
      </c>
      <c r="G82" s="11">
        <f>14944.03</f>
        <v>14944.03</v>
      </c>
      <c r="H82" s="12">
        <f t="shared" ref="H82" si="4">G82/F82</f>
        <v>0.57698957528957528</v>
      </c>
    </row>
    <row r="83" spans="2:8" ht="15.75" customHeight="1" x14ac:dyDescent="0.25">
      <c r="B83" s="29" t="s">
        <v>74</v>
      </c>
      <c r="C83" s="4" t="s">
        <v>75</v>
      </c>
      <c r="D83" s="7"/>
      <c r="E83" s="8"/>
      <c r="F83" s="8"/>
      <c r="G83" s="8"/>
      <c r="H83" s="9"/>
    </row>
    <row r="84" spans="2:8" ht="15.75" customHeight="1" x14ac:dyDescent="0.25">
      <c r="B84" s="31"/>
      <c r="C84" s="5" t="s">
        <v>22</v>
      </c>
      <c r="D84" s="10" t="s">
        <v>23</v>
      </c>
      <c r="E84" s="11">
        <v>5000</v>
      </c>
      <c r="F84" s="11">
        <v>600</v>
      </c>
      <c r="G84" s="11">
        <v>0</v>
      </c>
      <c r="H84" s="12">
        <f t="shared" ref="H84" si="5">G84/F84</f>
        <v>0</v>
      </c>
    </row>
    <row r="85" spans="2:8" ht="15.75" customHeight="1" x14ac:dyDescent="0.25">
      <c r="B85" s="29" t="s">
        <v>76</v>
      </c>
      <c r="C85" s="4" t="s">
        <v>77</v>
      </c>
      <c r="D85" s="7"/>
      <c r="E85" s="8"/>
      <c r="F85" s="8"/>
      <c r="G85" s="8"/>
      <c r="H85" s="9"/>
    </row>
    <row r="86" spans="2:8" ht="15.75" customHeight="1" x14ac:dyDescent="0.25">
      <c r="B86" s="31"/>
      <c r="C86" s="5" t="s">
        <v>24</v>
      </c>
      <c r="D86" s="10" t="s">
        <v>25</v>
      </c>
      <c r="E86" s="11">
        <v>7000</v>
      </c>
      <c r="F86" s="11">
        <v>2500</v>
      </c>
      <c r="G86" s="11">
        <v>0</v>
      </c>
      <c r="H86" s="12">
        <f t="shared" ref="H86" si="6">G86/F86</f>
        <v>0</v>
      </c>
    </row>
    <row r="87" spans="2:8" ht="15.75" customHeight="1" x14ac:dyDescent="0.25">
      <c r="B87" s="29" t="s">
        <v>78</v>
      </c>
      <c r="C87" s="4" t="s">
        <v>79</v>
      </c>
      <c r="D87" s="7"/>
      <c r="E87" s="8"/>
      <c r="F87" s="8"/>
      <c r="G87" s="8"/>
      <c r="H87" s="9"/>
    </row>
    <row r="88" spans="2:8" ht="15.75" customHeight="1" x14ac:dyDescent="0.25">
      <c r="B88" s="31"/>
      <c r="C88" s="5" t="s">
        <v>128</v>
      </c>
      <c r="D88" s="10" t="s">
        <v>129</v>
      </c>
      <c r="E88" s="11">
        <v>33000</v>
      </c>
      <c r="F88" s="11">
        <v>274500</v>
      </c>
      <c r="G88" s="11">
        <f>31020.33</f>
        <v>31020.33</v>
      </c>
      <c r="H88" s="12">
        <f t="shared" ref="H88" si="7">G88/F88</f>
        <v>0.11300666666666667</v>
      </c>
    </row>
    <row r="89" spans="2:8" ht="15.75" customHeight="1" x14ac:dyDescent="0.25">
      <c r="B89" s="29" t="s">
        <v>80</v>
      </c>
      <c r="C89" s="4" t="s">
        <v>81</v>
      </c>
      <c r="D89" s="7"/>
      <c r="E89" s="8"/>
      <c r="F89" s="8"/>
      <c r="G89" s="8"/>
      <c r="H89" s="9"/>
    </row>
    <row r="90" spans="2:8" ht="15.75" customHeight="1" x14ac:dyDescent="0.25">
      <c r="B90" s="31"/>
      <c r="C90" s="5" t="s">
        <v>26</v>
      </c>
      <c r="D90" s="10" t="s">
        <v>23</v>
      </c>
      <c r="E90" s="11">
        <v>5000</v>
      </c>
      <c r="F90" s="11">
        <v>3000</v>
      </c>
      <c r="G90" s="11">
        <v>0</v>
      </c>
      <c r="H90" s="12">
        <f t="shared" ref="H90" si="8">G90/F90</f>
        <v>0</v>
      </c>
    </row>
    <row r="91" spans="2:8" ht="15.75" customHeight="1" x14ac:dyDescent="0.25">
      <c r="B91" s="29" t="s">
        <v>82</v>
      </c>
      <c r="C91" s="4" t="s">
        <v>83</v>
      </c>
      <c r="D91" s="7"/>
      <c r="E91" s="8"/>
      <c r="F91" s="8"/>
      <c r="G91" s="8"/>
      <c r="H91" s="9"/>
    </row>
    <row r="92" spans="2:8" ht="15.75" customHeight="1" x14ac:dyDescent="0.25">
      <c r="B92" s="31"/>
      <c r="C92" s="5" t="s">
        <v>130</v>
      </c>
      <c r="D92" s="10" t="s">
        <v>11</v>
      </c>
      <c r="E92" s="11">
        <v>10000</v>
      </c>
      <c r="F92" s="11">
        <v>2</v>
      </c>
      <c r="G92" s="11">
        <v>0</v>
      </c>
      <c r="H92" s="12">
        <f t="shared" ref="H92" si="9">G92/F92</f>
        <v>0</v>
      </c>
    </row>
    <row r="93" spans="2:8" ht="15.75" customHeight="1" x14ac:dyDescent="0.25">
      <c r="B93" s="29" t="s">
        <v>84</v>
      </c>
      <c r="C93" s="4" t="s">
        <v>85</v>
      </c>
      <c r="D93" s="7"/>
      <c r="E93" s="8"/>
      <c r="F93" s="8"/>
      <c r="G93" s="8"/>
      <c r="H93" s="9"/>
    </row>
    <row r="94" spans="2:8" ht="15.75" customHeight="1" x14ac:dyDescent="0.25">
      <c r="B94" s="31"/>
      <c r="C94" s="5" t="s">
        <v>103</v>
      </c>
      <c r="D94" s="20" t="s">
        <v>86</v>
      </c>
      <c r="E94" s="32">
        <v>349500</v>
      </c>
      <c r="F94" s="32">
        <v>951500</v>
      </c>
      <c r="G94" s="11"/>
      <c r="H94" s="27">
        <f>SUM(G94:G95)/F94</f>
        <v>0.3031401996847084</v>
      </c>
    </row>
    <row r="95" spans="2:8" ht="15.75" customHeight="1" x14ac:dyDescent="0.25">
      <c r="B95" s="25"/>
      <c r="C95" s="5" t="s">
        <v>168</v>
      </c>
      <c r="D95" s="20" t="s">
        <v>169</v>
      </c>
      <c r="E95" s="34"/>
      <c r="F95" s="34"/>
      <c r="G95" s="11">
        <f>288437.9</f>
        <v>288437.90000000002</v>
      </c>
      <c r="H95" s="35"/>
    </row>
    <row r="96" spans="2:8" ht="15.75" customHeight="1" x14ac:dyDescent="0.25">
      <c r="B96" s="29" t="s">
        <v>87</v>
      </c>
      <c r="C96" s="4" t="s">
        <v>88</v>
      </c>
      <c r="D96" s="7"/>
      <c r="E96" s="8"/>
      <c r="F96" s="8"/>
      <c r="G96" s="8"/>
      <c r="H96" s="9"/>
    </row>
    <row r="97" spans="2:8" ht="15.75" customHeight="1" x14ac:dyDescent="0.25">
      <c r="B97" s="30"/>
      <c r="C97" s="5" t="s">
        <v>131</v>
      </c>
      <c r="D97" s="10" t="s">
        <v>11</v>
      </c>
      <c r="E97" s="21">
        <v>569500</v>
      </c>
      <c r="F97" s="21">
        <v>569500</v>
      </c>
      <c r="G97" s="11">
        <v>0</v>
      </c>
      <c r="H97" s="23">
        <f>SUM(G97:G97)/F97</f>
        <v>0</v>
      </c>
    </row>
    <row r="98" spans="2:8" ht="15.75" customHeight="1" x14ac:dyDescent="0.25">
      <c r="B98" s="29" t="s">
        <v>89</v>
      </c>
      <c r="C98" s="4" t="s">
        <v>90</v>
      </c>
      <c r="D98" s="7"/>
      <c r="E98" s="8"/>
      <c r="F98" s="8"/>
      <c r="G98" s="8"/>
      <c r="H98" s="9"/>
    </row>
    <row r="99" spans="2:8" ht="15.75" customHeight="1" x14ac:dyDescent="0.25">
      <c r="B99" s="31"/>
      <c r="C99" s="5" t="s">
        <v>91</v>
      </c>
      <c r="D99" s="10" t="s">
        <v>132</v>
      </c>
      <c r="E99" s="11">
        <v>30000</v>
      </c>
      <c r="F99" s="11">
        <v>30000</v>
      </c>
      <c r="G99" s="11">
        <v>0</v>
      </c>
      <c r="H99" s="12">
        <f t="shared" ref="H99" si="10">G99/F99</f>
        <v>0</v>
      </c>
    </row>
    <row r="100" spans="2:8" ht="15.75" customHeight="1" x14ac:dyDescent="0.25">
      <c r="B100" s="29" t="s">
        <v>92</v>
      </c>
      <c r="C100" s="4" t="s">
        <v>93</v>
      </c>
      <c r="D100" s="7"/>
      <c r="E100" s="8"/>
      <c r="F100" s="8"/>
      <c r="G100" s="8"/>
      <c r="H100" s="9"/>
    </row>
    <row r="101" spans="2:8" ht="15.75" customHeight="1" x14ac:dyDescent="0.25">
      <c r="B101" s="31"/>
      <c r="C101" s="5" t="s">
        <v>94</v>
      </c>
      <c r="D101" s="10" t="s">
        <v>35</v>
      </c>
      <c r="E101" s="11">
        <v>8000</v>
      </c>
      <c r="F101" s="11">
        <v>4</v>
      </c>
      <c r="G101" s="11">
        <v>0</v>
      </c>
      <c r="H101" s="12">
        <v>0</v>
      </c>
    </row>
    <row r="102" spans="2:8" ht="15.75" customHeight="1" x14ac:dyDescent="0.25">
      <c r="B102" s="29" t="s">
        <v>96</v>
      </c>
      <c r="C102" s="4" t="s">
        <v>95</v>
      </c>
      <c r="D102" s="7"/>
      <c r="E102" s="8"/>
      <c r="F102" s="8"/>
      <c r="G102" s="8"/>
      <c r="H102" s="9"/>
    </row>
    <row r="103" spans="2:8" ht="15.75" customHeight="1" x14ac:dyDescent="0.25">
      <c r="B103" s="30"/>
      <c r="C103" s="5" t="s">
        <v>104</v>
      </c>
      <c r="D103" s="10" t="s">
        <v>35</v>
      </c>
      <c r="E103" s="22">
        <v>856875</v>
      </c>
      <c r="F103" s="22">
        <f>856875</f>
        <v>856875</v>
      </c>
      <c r="G103" s="11">
        <f>100053.54</f>
        <v>100053.54</v>
      </c>
      <c r="H103" s="12">
        <f t="shared" ref="H103" si="11">G103/F103</f>
        <v>0.1167656192560175</v>
      </c>
    </row>
    <row r="104" spans="2:8" ht="15.75" customHeight="1" x14ac:dyDescent="0.25">
      <c r="B104" s="29" t="s">
        <v>133</v>
      </c>
      <c r="C104" s="4" t="s">
        <v>134</v>
      </c>
      <c r="D104" s="7"/>
      <c r="E104" s="8"/>
      <c r="F104" s="8"/>
      <c r="G104" s="8"/>
      <c r="H104" s="9"/>
    </row>
    <row r="105" spans="2:8" ht="15.75" customHeight="1" x14ac:dyDescent="0.25">
      <c r="B105" s="31"/>
      <c r="C105" s="5" t="s">
        <v>136</v>
      </c>
      <c r="D105" s="10" t="s">
        <v>135</v>
      </c>
      <c r="E105" s="11">
        <v>130000</v>
      </c>
      <c r="F105" s="11">
        <f>190000</f>
        <v>190000</v>
      </c>
      <c r="G105" s="11">
        <f>41004.04</f>
        <v>41004.04</v>
      </c>
      <c r="H105" s="12">
        <f t="shared" ref="H105" si="12">G105/F105</f>
        <v>0.21581073684210528</v>
      </c>
    </row>
    <row r="106" spans="2:8" ht="15.75" customHeight="1" x14ac:dyDescent="0.25">
      <c r="B106" s="29" t="s">
        <v>137</v>
      </c>
      <c r="C106" s="4" t="s">
        <v>138</v>
      </c>
      <c r="D106" s="7"/>
      <c r="E106" s="8"/>
      <c r="F106" s="8"/>
      <c r="G106" s="8"/>
      <c r="H106" s="9"/>
    </row>
    <row r="107" spans="2:8" ht="15.75" customHeight="1" x14ac:dyDescent="0.25">
      <c r="B107" s="31"/>
      <c r="C107" s="5" t="s">
        <v>139</v>
      </c>
      <c r="D107" s="10" t="s">
        <v>132</v>
      </c>
      <c r="E107" s="11">
        <v>50000</v>
      </c>
      <c r="F107" s="11">
        <v>144400</v>
      </c>
      <c r="G107" s="11">
        <v>0</v>
      </c>
      <c r="H107" s="12">
        <f t="shared" ref="H107" si="13">G107/F107</f>
        <v>0</v>
      </c>
    </row>
    <row r="108" spans="2:8" ht="16.5" thickBot="1" x14ac:dyDescent="0.3">
      <c r="B108" s="46" t="s">
        <v>31</v>
      </c>
      <c r="C108" s="47"/>
      <c r="D108" s="15" t="s">
        <v>11</v>
      </c>
      <c r="E108" s="13">
        <f>SUM(E12:E107)</f>
        <v>11355250</v>
      </c>
      <c r="F108" s="13">
        <f>SUM(F12:F107)</f>
        <v>25427114.539999999</v>
      </c>
      <c r="G108" s="13">
        <f>SUM(G12:G107)</f>
        <v>6810248.4300000025</v>
      </c>
      <c r="H108" s="14">
        <f>G108/F108</f>
        <v>0.26783410360175308</v>
      </c>
    </row>
  </sheetData>
  <mergeCells count="72">
    <mergeCell ref="B68:B72"/>
    <mergeCell ref="E69:E72"/>
    <mergeCell ref="F69:F72"/>
    <mergeCell ref="E94:E95"/>
    <mergeCell ref="F94:F95"/>
    <mergeCell ref="E15:E31"/>
    <mergeCell ref="F15:F31"/>
    <mergeCell ref="H15:H31"/>
    <mergeCell ref="B104:B105"/>
    <mergeCell ref="B106:B107"/>
    <mergeCell ref="E58:E60"/>
    <mergeCell ref="F58:F60"/>
    <mergeCell ref="B98:B99"/>
    <mergeCell ref="B35:B36"/>
    <mergeCell ref="B37:B38"/>
    <mergeCell ref="B55:B56"/>
    <mergeCell ref="B14:B31"/>
    <mergeCell ref="B39:B41"/>
    <mergeCell ref="B12:B13"/>
    <mergeCell ref="B108:C108"/>
    <mergeCell ref="B61:B62"/>
    <mergeCell ref="B63:B64"/>
    <mergeCell ref="B93:B94"/>
    <mergeCell ref="B96:B97"/>
    <mergeCell ref="B85:B86"/>
    <mergeCell ref="B87:B88"/>
    <mergeCell ref="B89:B90"/>
    <mergeCell ref="B91:B92"/>
    <mergeCell ref="B2:H2"/>
    <mergeCell ref="B3:H3"/>
    <mergeCell ref="B4:H4"/>
    <mergeCell ref="B5:H5"/>
    <mergeCell ref="B7:H7"/>
    <mergeCell ref="G9:G11"/>
    <mergeCell ref="H9:H11"/>
    <mergeCell ref="B9:B11"/>
    <mergeCell ref="C9:C11"/>
    <mergeCell ref="D9:D11"/>
    <mergeCell ref="E9:E11"/>
    <mergeCell ref="F9:F11"/>
    <mergeCell ref="B102:B103"/>
    <mergeCell ref="H66:H67"/>
    <mergeCell ref="B65:B67"/>
    <mergeCell ref="E66:E67"/>
    <mergeCell ref="F66:F67"/>
    <mergeCell ref="B78:B80"/>
    <mergeCell ref="E79:E80"/>
    <mergeCell ref="F79:F80"/>
    <mergeCell ref="B83:B84"/>
    <mergeCell ref="H79:H80"/>
    <mergeCell ref="B73:B74"/>
    <mergeCell ref="B75:B77"/>
    <mergeCell ref="E76:E77"/>
    <mergeCell ref="F76:F77"/>
    <mergeCell ref="H69:H72"/>
    <mergeCell ref="H94:H95"/>
    <mergeCell ref="B100:B101"/>
    <mergeCell ref="H76:H77"/>
    <mergeCell ref="B42:B54"/>
    <mergeCell ref="B32:B34"/>
    <mergeCell ref="B57:B60"/>
    <mergeCell ref="E43:E54"/>
    <mergeCell ref="F43:F54"/>
    <mergeCell ref="H43:H54"/>
    <mergeCell ref="H58:H60"/>
    <mergeCell ref="B81:B82"/>
    <mergeCell ref="E33:E34"/>
    <mergeCell ref="F33:F34"/>
    <mergeCell ref="H33:H34"/>
    <mergeCell ref="E40:E41"/>
    <mergeCell ref="F40:F41"/>
    <mergeCell ref="H40:H41"/>
  </mergeCells>
  <pageMargins left="0.511811024" right="0.511811024" top="0.78740157499999996" bottom="0.78740157499999996" header="0.31496062000000002" footer="0.3149606200000000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Projetos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Toigo</dc:creator>
  <cp:lastModifiedBy>Augusto César Sartori</cp:lastModifiedBy>
  <cp:lastPrinted>2019-05-22T14:23:19Z</cp:lastPrinted>
  <dcterms:created xsi:type="dcterms:W3CDTF">2017-10-07T11:56:08Z</dcterms:created>
  <dcterms:modified xsi:type="dcterms:W3CDTF">2019-09-24T13:07:52Z</dcterms:modified>
</cp:coreProperties>
</file>